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695929A1-AB23-48BD-BE78-400148C8BA40}" xr6:coauthVersionLast="36" xr6:coauthVersionMax="36" xr10:uidLastSave="{00000000-0000-0000-0000-000000000000}"/>
  <bookViews>
    <workbookView xWindow="2100" yWindow="105" windowWidth="14805" windowHeight="8010" xr2:uid="{00000000-000D-0000-FFFF-FFFF00000000}"/>
  </bookViews>
  <sheets>
    <sheet name="Критерии" sheetId="1" r:id="rId1"/>
  </sheets>
  <calcPr calcId="191029"/>
</workbook>
</file>

<file path=xl/calcChain.xml><?xml version="1.0" encoding="utf-8"?>
<calcChain xmlns="http://schemas.openxmlformats.org/spreadsheetml/2006/main">
  <c r="AD14" i="1" l="1"/>
  <c r="AD15" i="1"/>
  <c r="AD6" i="1"/>
  <c r="AD16" i="1" l="1"/>
  <c r="AD7" i="1"/>
  <c r="AD12" i="1" l="1"/>
  <c r="AD11" i="1"/>
  <c r="AD10" i="1"/>
  <c r="AD9" i="1"/>
  <c r="AD8" i="1"/>
  <c r="AC7" i="1" l="1"/>
  <c r="AC6" i="1" l="1"/>
  <c r="AC8" i="1"/>
  <c r="AC15" i="1" l="1"/>
  <c r="AC14" i="1"/>
  <c r="AC12" i="1"/>
  <c r="AC11" i="1"/>
  <c r="AC10" i="1"/>
  <c r="AC9" i="1"/>
  <c r="AC16" i="1" l="1"/>
  <c r="AB16" i="1" l="1"/>
  <c r="AB7" i="1"/>
  <c r="AB15" i="1" l="1"/>
  <c r="AB14" i="1"/>
  <c r="AB12" i="1"/>
  <c r="AA12" i="1"/>
  <c r="AB11" i="1"/>
  <c r="AB10" i="1"/>
  <c r="AB9" i="1"/>
  <c r="AA9" i="1"/>
  <c r="AB8" i="1"/>
  <c r="AA8" i="1"/>
  <c r="AB6" i="1"/>
  <c r="AA16" i="1" l="1"/>
  <c r="AA7" i="1" l="1"/>
  <c r="AA6" i="1"/>
  <c r="AA15" i="1"/>
  <c r="AA14" i="1"/>
  <c r="AA11" i="1"/>
  <c r="AA10" i="1"/>
  <c r="Y16" i="1" l="1"/>
  <c r="Y15" i="1"/>
  <c r="Y14" i="1"/>
  <c r="Y12" i="1"/>
  <c r="Y11" i="1"/>
  <c r="Y6" i="1"/>
  <c r="X6" i="1"/>
  <c r="W6" i="1"/>
  <c r="Y10" i="1"/>
  <c r="Y9" i="1"/>
  <c r="Y8" i="1"/>
  <c r="Y7" i="1" l="1"/>
  <c r="W16" i="1" l="1"/>
  <c r="W15" i="1"/>
  <c r="W14" i="1"/>
  <c r="W12" i="1"/>
  <c r="W11" i="1"/>
  <c r="W10" i="1"/>
  <c r="W9" i="1"/>
  <c r="W8" i="1"/>
  <c r="W7" i="1"/>
  <c r="V16" i="1" l="1"/>
  <c r="V15" i="1"/>
  <c r="V14" i="1"/>
  <c r="V12" i="1"/>
  <c r="V11" i="1"/>
  <c r="V10" i="1"/>
  <c r="V9" i="1"/>
  <c r="V8" i="1"/>
  <c r="V7" i="1"/>
  <c r="V6" i="1"/>
  <c r="T16" i="1" l="1"/>
  <c r="T15" i="1"/>
  <c r="T14" i="1"/>
  <c r="T12" i="1"/>
  <c r="T11" i="1"/>
  <c r="T10" i="1"/>
  <c r="T9" i="1"/>
  <c r="T8" i="1"/>
  <c r="T7" i="1"/>
  <c r="T6" i="1"/>
  <c r="S16" i="1" l="1"/>
  <c r="S15" i="1"/>
  <c r="S14" i="1"/>
  <c r="S12" i="1" l="1"/>
  <c r="S11" i="1"/>
  <c r="S10" i="1"/>
  <c r="S9" i="1"/>
  <c r="S8" i="1"/>
  <c r="S7" i="1"/>
  <c r="S6" i="1"/>
  <c r="R16" i="1" l="1"/>
  <c r="R15" i="1"/>
  <c r="R14" i="1"/>
  <c r="R12" i="1"/>
  <c r="R11" i="1"/>
  <c r="R10" i="1"/>
  <c r="R9" i="1"/>
  <c r="R8" i="1"/>
  <c r="R7" i="1"/>
  <c r="R6" i="1"/>
  <c r="Q15" i="1" l="1"/>
  <c r="Q14" i="1"/>
  <c r="Q16" i="1" l="1"/>
  <c r="Q12" i="1"/>
  <c r="Q11" i="1"/>
  <c r="Q10" i="1"/>
  <c r="Q9" i="1"/>
  <c r="Q8" i="1"/>
  <c r="Q7" i="1"/>
  <c r="Q6" i="1"/>
  <c r="O15" i="1" l="1"/>
  <c r="O14" i="1"/>
  <c r="O16" i="1" l="1"/>
  <c r="O12" i="1"/>
  <c r="O11" i="1"/>
  <c r="O10" i="1"/>
  <c r="O9" i="1"/>
  <c r="O8" i="1"/>
  <c r="O7" i="1"/>
  <c r="O6" i="1"/>
  <c r="N6" i="1" l="1"/>
  <c r="N16" i="1"/>
  <c r="N15" i="1"/>
  <c r="N14" i="1"/>
  <c r="N12" i="1"/>
  <c r="N11" i="1"/>
  <c r="N10" i="1"/>
  <c r="N9" i="1"/>
  <c r="N8" i="1"/>
  <c r="N7" i="1"/>
  <c r="M16" i="1" l="1"/>
  <c r="M15" i="1"/>
  <c r="M14" i="1"/>
  <c r="M12" i="1"/>
  <c r="M11" i="1"/>
  <c r="M10" i="1"/>
  <c r="M9" i="1"/>
  <c r="M8" i="1"/>
  <c r="M7" i="1"/>
  <c r="M6" i="1"/>
  <c r="L16" i="1" l="1"/>
  <c r="L12" i="1" l="1"/>
  <c r="L11" i="1"/>
  <c r="L10" i="1"/>
  <c r="L9" i="1"/>
  <c r="L8" i="1"/>
  <c r="L7" i="1"/>
  <c r="L6" i="1"/>
  <c r="J15" i="1" l="1"/>
  <c r="J14" i="1"/>
  <c r="J16" i="1" l="1"/>
  <c r="J12" i="1"/>
  <c r="J11" i="1"/>
  <c r="J10" i="1"/>
  <c r="J9" i="1"/>
  <c r="J8" i="1"/>
  <c r="J7" i="1"/>
  <c r="J6" i="1"/>
  <c r="F15" i="1" l="1"/>
  <c r="F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E2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2018 год
</t>
        </r>
      </text>
    </comment>
    <comment ref="G2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2019 год
Целевое значение ТП СО на 2018 год
</t>
        </r>
      </text>
    </comment>
    <comment ref="I2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2019 год
Целевое значение ТП СО на 2018 год
</t>
        </r>
      </text>
    </comment>
    <comment ref="P2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2019 год
Целевое значение ТП СО на 2018 год
</t>
        </r>
      </text>
    </comment>
    <comment ref="U2" authorId="0" shapeId="0" xr:uid="{00000000-0006-0000-0000-000005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2019 год
Целевое значение ТП СО на 2018 год
</t>
        </r>
      </text>
    </comment>
    <comment ref="Z2" authorId="0" shapeId="0" xr:uid="{00000000-0006-0000-0000-000006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2019 год
Целевое значение ТП СО на 2024 год
</t>
        </r>
      </text>
    </comment>
    <comment ref="AE2" authorId="0" shapeId="0" xr:uid="{9A2871EA-E9E4-4DA9-870B-4E79CC33525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2019 год
Целевое значение ТП СО на 2024 год
</t>
        </r>
      </text>
    </comment>
    <comment ref="J6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N6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O6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Q6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R6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S6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T6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V6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W6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X6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Y6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AA6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AB6" authorId="0" shapeId="0" xr:uid="{00000000-0006-0000-0000-00001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AC6" authorId="0" shapeId="0" xr:uid="{D1BA4B56-E027-4756-9C6C-66B60D6EBEEE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AD6" authorId="0" shapeId="0" xr:uid="{5EF272F6-5127-47D5-BB62-82BF9BC0DA05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J7" authorId="0" shapeId="0" xr:uid="{00000000-0006-0000-0000-00001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N7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O7" authorId="0" shapeId="0" xr:uid="{00000000-0006-0000-0000-00001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Q7" authorId="0" shapeId="0" xr:uid="{00000000-0006-0000-0000-00001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R7" authorId="0" shapeId="0" xr:uid="{00000000-0006-0000-0000-00001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S7" authorId="0" shapeId="0" xr:uid="{00000000-0006-0000-0000-00001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T7" authorId="0" shapeId="0" xr:uid="{00000000-0006-0000-0000-00001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V7" authorId="0" shapeId="0" xr:uid="{00000000-0006-0000-0000-00001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W7" authorId="0" shapeId="0" xr:uid="{00000000-0006-0000-0000-00001C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X7" authorId="0" shapeId="0" xr:uid="{00000000-0006-0000-0000-00001D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Y7" authorId="0" shapeId="0" xr:uid="{00000000-0006-0000-0000-00001E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AA7" authorId="0" shapeId="0" xr:uid="{00000000-0006-0000-0000-00001F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AB7" authorId="0" shapeId="0" xr:uid="{00000000-0006-0000-0000-000020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AC7" authorId="0" shapeId="0" xr:uid="{8984AF1A-DADE-4AD8-A24F-52B40F6C774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AD7" authorId="0" shapeId="0" xr:uid="{B38ADB48-2F79-4776-BCDE-459B7F5A7AE6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N14" authorId="0" shapeId="0" xr:uid="{00000000-0006-0000-0000-00002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8134 чел.</t>
        </r>
      </text>
    </comment>
    <comment ref="O14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8135 чел.</t>
        </r>
      </text>
    </comment>
    <comment ref="Q14" authorId="0" shapeId="0" xr:uid="{00000000-0006-0000-0000-00002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8155 чел.</t>
        </r>
      </text>
    </comment>
    <comment ref="R14" authorId="0" shapeId="0" xr:uid="{00000000-0006-0000-0000-00002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8123 чел.</t>
        </r>
      </text>
    </comment>
    <comment ref="S14" authorId="0" shapeId="0" xr:uid="{00000000-0006-0000-0000-00002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8060 чел.</t>
        </r>
      </text>
    </comment>
    <comment ref="V14" authorId="0" shapeId="0" xr:uid="{00000000-0006-0000-0000-00002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8144 чел.</t>
        </r>
      </text>
    </comment>
    <comment ref="W14" authorId="0" shapeId="0" xr:uid="{00000000-0006-0000-0000-00002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8078 чел.</t>
        </r>
      </text>
    </comment>
    <comment ref="X14" authorId="0" shapeId="0" xr:uid="{00000000-0006-0000-0000-00002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8060 чел.</t>
        </r>
      </text>
    </comment>
    <comment ref="AA14" authorId="0" shapeId="0" xr:uid="{00000000-0006-0000-0000-00002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8144 чел.</t>
        </r>
      </text>
    </comment>
    <comment ref="AB14" authorId="0" shapeId="0" xr:uid="{00000000-0006-0000-0000-00002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8078 чел.</t>
        </r>
      </text>
    </comment>
    <comment ref="AC14" authorId="0" shapeId="0" xr:uid="{F84D410B-0572-4010-8F79-1A11F9D66A86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8078 чел.</t>
        </r>
      </text>
    </comment>
    <comment ref="AD14" authorId="0" shapeId="0" xr:uid="{20254FB5-4462-4D10-A1B0-CCD20B8CF9CE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8078 чел.</t>
        </r>
      </text>
    </comment>
    <comment ref="J16" authorId="0" shapeId="0" xr:uid="{00000000-0006-0000-0000-00002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2020 года/годовой план</t>
        </r>
      </text>
    </comment>
    <comment ref="N16" authorId="0" shapeId="0" xr:uid="{00000000-0006-0000-0000-00002C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9 месяцев/годовой план</t>
        </r>
      </text>
    </comment>
    <comment ref="O16" authorId="0" shapeId="0" xr:uid="{00000000-0006-0000-0000-00002D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2020 года/годовой план</t>
        </r>
      </text>
    </comment>
    <comment ref="Q16" authorId="0" shapeId="0" xr:uid="{00000000-0006-0000-0000-00002E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R16" authorId="0" shapeId="0" xr:uid="{00000000-0006-0000-0000-00002F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S16" authorId="0" shapeId="0" xr:uid="{00000000-0006-0000-0000-000030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9 месяцев/годовой план</t>
        </r>
      </text>
    </comment>
    <comment ref="T16" authorId="0" shapeId="0" xr:uid="{00000000-0006-0000-0000-00003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2020 года/годовой план</t>
        </r>
      </text>
    </comment>
    <comment ref="V16" authorId="0" shapeId="0" xr:uid="{00000000-0006-0000-0000-00003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W16" authorId="0" shapeId="0" xr:uid="{00000000-0006-0000-0000-00003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X16" authorId="0" shapeId="0" xr:uid="{00000000-0006-0000-0000-00003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9 месяцев/годовой план</t>
        </r>
      </text>
    </comment>
    <comment ref="Y16" authorId="0" shapeId="0" xr:uid="{00000000-0006-0000-0000-00003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2020 года/годовой план</t>
        </r>
      </text>
    </comment>
    <comment ref="AA16" authorId="0" shapeId="0" xr:uid="{00000000-0006-0000-0000-00003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AB16" authorId="0" shapeId="0" xr:uid="{00000000-0006-0000-0000-00003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AC16" authorId="0" shapeId="0" xr:uid="{284A3FFA-E5DE-49F2-91DE-D06D32E3E771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AD16" authorId="0" shapeId="0" xr:uid="{80667069-84F4-433A-B0B7-BCCB5F8FBC9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</commentList>
</comments>
</file>

<file path=xl/sharedStrings.xml><?xml version="1.0" encoding="utf-8"?>
<sst xmlns="http://schemas.openxmlformats.org/spreadsheetml/2006/main" count="94" uniqueCount="64">
  <si>
    <t>N строки</t>
  </si>
  <si>
    <t>Критерии доступности и качества медицинской помощи</t>
  </si>
  <si>
    <t>Единица измерения</t>
  </si>
  <si>
    <t>Раздел 1. Критерии качества медицинской помощи</t>
  </si>
  <si>
    <t>Удовлетворенность населения медицинской помощью, в том числе</t>
  </si>
  <si>
    <t>% от числа опрошенных</t>
  </si>
  <si>
    <t>не менее 80</t>
  </si>
  <si>
    <t>не менее 81</t>
  </si>
  <si>
    <t>городского населения</t>
  </si>
  <si>
    <t>Смертность населения в трудоспособном возрасте</t>
  </si>
  <si>
    <t>Доля впервые выявленных случаев онкологических заболеваний на ранних стадиях (1 и 2 стадии) от общего количества выявленных случаев онкологических заболеваний в течении года</t>
  </si>
  <si>
    <t>%</t>
  </si>
  <si>
    <t>Доля пациентов с инфарктом миокарда, госпитализированных в первые 12 часов от начала заболевания, в общем количестве госпитализированных пациентов с инфарктом миокарда</t>
  </si>
  <si>
    <t>Доля пациентов с острым инфарктом миокарда, которым проведена тромболитическая терапия, в общем количестве пациентов с острым инфарктом миокарда</t>
  </si>
  <si>
    <t>Доля пациентов с острым инфарктом миокарда, которым проведено стентирование коронарных артерий, в общем количестве пациентов с острым инфарктом миокарда</t>
  </si>
  <si>
    <t>не менее 25</t>
  </si>
  <si>
    <t>Доля пациентов с острыми цереброваскулярными болезнями, госпитализированных в первые 6 часов от начала заболевания, в общем количестве госпитализированных пациентов с острыми цереброваскулярными болезнями</t>
  </si>
  <si>
    <t>не менее 35</t>
  </si>
  <si>
    <t>Раздел 2. Критерии доступности медицинской помощи</t>
  </si>
  <si>
    <t>Обеспеченность населения врачами, оказывающими медицинскую помощь в амбулаторных условиях, всего</t>
  </si>
  <si>
    <t>Обеспеченность населения средним медицинским персоналом, оказывающим медицинскую помощь в амбулаторных условиях, всего</t>
  </si>
  <si>
    <t>Доля фельдшерско-акушерских пунктов и фельдшерских пунктов, находящихся в аварийном состоянии и требующих капитального ремонта, в общем количестве фельдшерско-акушерских пунктов и фельдшерских пунктов</t>
  </si>
  <si>
    <t>не менее 45</t>
  </si>
  <si>
    <t>не менее 46,7</t>
  </si>
  <si>
    <t>не менее 30</t>
  </si>
  <si>
    <t>Доля впервые выявленных заболеваний при профилактических медицинских осмотрах и диспансеризации в общем количестве впервые в жизни зарегистрированных заболеваний в течение года</t>
  </si>
  <si>
    <t>Доля охвата диспансеризацией взрослого населения, подлежащего диспансеризации</t>
  </si>
  <si>
    <t>на 10 тыс. чел.</t>
  </si>
  <si>
    <r>
      <t>Целевое значение критериев доступности и качества МП</t>
    </r>
    <r>
      <rPr>
        <b/>
        <sz val="12"/>
        <color theme="1"/>
        <rFont val="Times New Roman"/>
        <family val="1"/>
        <charset val="204"/>
      </rPr>
      <t xml:space="preserve"> на 2018 год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</si>
  <si>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2017 год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</si>
  <si>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2018 год</t>
    </r>
  </si>
  <si>
    <t xml:space="preserve">на 100 тыс. чел. </t>
  </si>
  <si>
    <r>
      <t xml:space="preserve">Выполнение целевых значений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2019 год</t>
    </r>
  </si>
  <si>
    <r>
      <t xml:space="preserve">Целевое значение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2019 год</t>
    </r>
  </si>
  <si>
    <r>
      <t xml:space="preserve">Целевое значение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2020 год</t>
    </r>
  </si>
  <si>
    <t>не менее 81%</t>
  </si>
  <si>
    <t>не менее 47%</t>
  </si>
  <si>
    <t>не менее 25%</t>
  </si>
  <si>
    <t>не менее 31%</t>
  </si>
  <si>
    <r>
      <t xml:space="preserve">Выполнение целевых значений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2020 год</t>
    </r>
  </si>
  <si>
    <t>не менее 50%</t>
  </si>
  <si>
    <t>не менее 45%</t>
  </si>
  <si>
    <r>
      <t xml:space="preserve">Целевое значение критериев доступности и качества МП        </t>
    </r>
    <r>
      <rPr>
        <b/>
        <sz val="12"/>
        <color theme="1"/>
        <rFont val="Times New Roman"/>
        <family val="1"/>
        <charset val="204"/>
      </rPr>
      <t>на 2021 год</t>
    </r>
  </si>
  <si>
    <r>
      <t xml:space="preserve">Выполнение целевых значений критериев доступности и качества МП   </t>
    </r>
    <r>
      <rPr>
        <b/>
        <sz val="12"/>
        <color theme="1"/>
        <rFont val="Times New Roman"/>
        <family val="1"/>
        <charset val="204"/>
      </rPr>
      <t>на 01.04.2021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</si>
  <si>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01.07.2021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</si>
  <si>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01.10.2021</t>
    </r>
  </si>
  <si>
    <r>
      <t xml:space="preserve">Выполнение целевых значений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2021 год</t>
    </r>
  </si>
  <si>
    <r>
      <t xml:space="preserve">Целевое значение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2022 год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</si>
  <si>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01.04.2022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</si>
  <si>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01.07.2022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</si>
  <si>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01.10.2022</t>
    </r>
  </si>
  <si>
    <r>
      <t xml:space="preserve">Выполнение целевых значений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2022 год</t>
    </r>
  </si>
  <si>
    <r>
      <t xml:space="preserve">Целевое значение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2023 год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</si>
  <si>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01.04.2023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</si>
  <si>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01.07.2023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</si>
  <si>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01.10.2023</t>
    </r>
  </si>
  <si>
    <r>
      <t xml:space="preserve">Выполнение целевых значений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за 2023 год</t>
    </r>
  </si>
  <si>
    <r>
      <t xml:space="preserve">Целевое значение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2024 год</t>
    </r>
  </si>
  <si>
    <t>не менее 85%</t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</si>
  <si>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01.04.2024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</si>
  <si>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01.07.2024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</si>
  <si>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01.10.2024</t>
    </r>
  </si>
  <si>
    <r>
      <t xml:space="preserve">Целевое значение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2025 год</t>
    </r>
  </si>
  <si>
    <r>
      <t xml:space="preserve">Выполнение целевых значений критериев доступности и качества МП -   </t>
    </r>
    <r>
      <rPr>
        <b/>
        <sz val="12"/>
        <color theme="1"/>
        <rFont val="Times New Roman"/>
        <family val="1"/>
        <charset val="204"/>
      </rPr>
      <t>за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</si>
</sst>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 wrapText="1"/>
    </xf>
    <xf numFmtId="0" fontId="2" fillId="0" borderId="0" xfId="0" applyFont="1" applyFill="1" applyBorder="1"/>
    <xf numFmtId="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9" fontId="2" fillId="5" borderId="1" xfId="0" applyNumberFormat="1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 vertical="center"/>
    </xf>
    <xf numFmtId="9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9" fontId="2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9" fontId="2" fillId="7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/>
    </xf>
    <xf numFmtId="10" fontId="2" fillId="7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9" fontId="2" fillId="7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0" fontId="2" fillId="6" borderId="1" xfId="0" applyNumberFormat="1" applyFont="1" applyFill="1" applyBorder="1" applyAlignment="1">
      <alignment horizontal="center" vertical="center"/>
    </xf>
    <xf numFmtId="9" fontId="6" fillId="6" borderId="1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8" borderId="0" xfId="0" applyFont="1" applyFill="1" applyBorder="1"/>
    <xf numFmtId="9" fontId="2" fillId="8" borderId="1" xfId="0" applyNumberFormat="1" applyFont="1" applyFill="1" applyBorder="1" applyAlignment="1">
      <alignment horizontal="center" vertical="center" wrapText="1"/>
    </xf>
    <xf numFmtId="3" fontId="2" fillId="8" borderId="1" xfId="0" applyNumberFormat="1" applyFont="1" applyFill="1" applyBorder="1" applyAlignment="1">
      <alignment horizontal="center" vertical="center"/>
    </xf>
    <xf numFmtId="10" fontId="2" fillId="8" borderId="1" xfId="0" applyNumberFormat="1" applyFont="1" applyFill="1" applyBorder="1" applyAlignment="1">
      <alignment horizontal="center" vertical="center"/>
    </xf>
    <xf numFmtId="9" fontId="2" fillId="8" borderId="1" xfId="0" applyNumberFormat="1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9" fontId="6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E17"/>
  <sheetViews>
    <sheetView tabSelected="1" zoomScaleNormal="100" workbookViewId="0">
      <pane xSplit="3" ySplit="2" topLeftCell="G3" activePane="bottomRight" state="frozen"/>
      <selection pane="topRight" activeCell="E1" sqref="E1"/>
      <selection pane="bottomLeft" activeCell="A4" sqref="A4"/>
      <selection pane="bottomRight" activeCell="AE6" sqref="AE6"/>
    </sheetView>
  </sheetViews>
  <sheetFormatPr defaultRowHeight="15.75" x14ac:dyDescent="0.25"/>
  <cols>
    <col min="1" max="1" width="7.5703125" style="1" customWidth="1"/>
    <col min="2" max="2" width="60" style="1" customWidth="1"/>
    <col min="3" max="3" width="14" style="1" customWidth="1"/>
    <col min="4" max="6" width="15.7109375" style="1" hidden="1" customWidth="1"/>
    <col min="7" max="7" width="15.7109375" style="1" customWidth="1"/>
    <col min="8" max="9" width="16" style="1" hidden="1" customWidth="1"/>
    <col min="10" max="10" width="17.28515625" style="1" hidden="1" customWidth="1"/>
    <col min="11" max="20" width="16.7109375" style="1" hidden="1" customWidth="1"/>
    <col min="21" max="21" width="16.7109375" style="1" customWidth="1"/>
    <col min="22" max="23" width="16.7109375" style="1" hidden="1" customWidth="1"/>
    <col min="24" max="25" width="16.7109375" style="1" customWidth="1"/>
    <col min="26" max="26" width="17.85546875" style="1" customWidth="1"/>
    <col min="27" max="27" width="15.7109375" style="1" customWidth="1"/>
    <col min="28" max="28" width="16.85546875" style="1" customWidth="1"/>
    <col min="29" max="30" width="15.85546875" style="1" customWidth="1"/>
    <col min="31" max="31" width="15.7109375" style="1" customWidth="1"/>
    <col min="32" max="16384" width="9.140625" style="1"/>
  </cols>
  <sheetData>
    <row r="2" spans="1:31" ht="120.75" customHeight="1" x14ac:dyDescent="0.25">
      <c r="A2" s="8" t="s">
        <v>0</v>
      </c>
      <c r="B2" s="10" t="s">
        <v>1</v>
      </c>
      <c r="C2" s="8" t="s">
        <v>2</v>
      </c>
      <c r="D2" s="6" t="s">
        <v>29</v>
      </c>
      <c r="E2" s="7" t="s">
        <v>28</v>
      </c>
      <c r="F2" s="6" t="s">
        <v>30</v>
      </c>
      <c r="G2" s="7" t="s">
        <v>33</v>
      </c>
      <c r="H2" s="6" t="s">
        <v>32</v>
      </c>
      <c r="I2" s="7" t="s">
        <v>34</v>
      </c>
      <c r="J2" s="6" t="s">
        <v>39</v>
      </c>
      <c r="K2" s="7" t="s">
        <v>42</v>
      </c>
      <c r="L2" s="25" t="s">
        <v>43</v>
      </c>
      <c r="M2" s="33" t="s">
        <v>44</v>
      </c>
      <c r="N2" s="40" t="s">
        <v>45</v>
      </c>
      <c r="O2" s="6" t="s">
        <v>46</v>
      </c>
      <c r="P2" s="7" t="s">
        <v>47</v>
      </c>
      <c r="Q2" s="25" t="s">
        <v>48</v>
      </c>
      <c r="R2" s="33" t="s">
        <v>49</v>
      </c>
      <c r="S2" s="40" t="s">
        <v>50</v>
      </c>
      <c r="T2" s="6" t="s">
        <v>51</v>
      </c>
      <c r="U2" s="7" t="s">
        <v>52</v>
      </c>
      <c r="V2" s="25" t="s">
        <v>53</v>
      </c>
      <c r="W2" s="33" t="s">
        <v>54</v>
      </c>
      <c r="X2" s="40" t="s">
        <v>55</v>
      </c>
      <c r="Y2" s="6" t="s">
        <v>56</v>
      </c>
      <c r="Z2" s="7" t="s">
        <v>57</v>
      </c>
      <c r="AA2" s="25" t="s">
        <v>59</v>
      </c>
      <c r="AB2" s="33" t="s">
        <v>60</v>
      </c>
      <c r="AC2" s="59" t="s">
        <v>61</v>
      </c>
      <c r="AD2" s="6" t="s">
        <v>63</v>
      </c>
      <c r="AE2" s="7" t="s">
        <v>62</v>
      </c>
    </row>
    <row r="3" spans="1:31" x14ac:dyDescent="0.25">
      <c r="A3" s="70" t="s">
        <v>3</v>
      </c>
      <c r="B3" s="71"/>
      <c r="C3" s="5"/>
      <c r="D3" s="11"/>
      <c r="E3" s="11"/>
      <c r="F3" s="11"/>
      <c r="G3" s="11"/>
      <c r="H3" s="12"/>
      <c r="I3" s="11"/>
      <c r="J3" s="12"/>
      <c r="K3" s="26"/>
      <c r="L3" s="12"/>
      <c r="M3" s="12"/>
      <c r="N3" s="12"/>
      <c r="O3" s="12"/>
      <c r="P3" s="26"/>
      <c r="Q3" s="12"/>
      <c r="R3" s="12"/>
      <c r="S3" s="12"/>
      <c r="T3" s="12"/>
      <c r="U3" s="26"/>
      <c r="V3" s="12"/>
      <c r="W3" s="12"/>
      <c r="X3" s="12"/>
      <c r="Y3" s="12"/>
      <c r="Z3" s="26"/>
      <c r="AA3" s="12"/>
      <c r="AB3" s="12"/>
      <c r="AC3" s="60"/>
      <c r="AD3" s="56"/>
      <c r="AE3" s="26"/>
    </row>
    <row r="4" spans="1:31" ht="31.5" x14ac:dyDescent="0.25">
      <c r="A4" s="2">
        <v>1</v>
      </c>
      <c r="B4" s="3" t="s">
        <v>4</v>
      </c>
      <c r="C4" s="69" t="s">
        <v>5</v>
      </c>
      <c r="D4" s="6">
        <v>80</v>
      </c>
      <c r="E4" s="7" t="s">
        <v>6</v>
      </c>
      <c r="F4" s="6">
        <v>80</v>
      </c>
      <c r="G4" s="7" t="s">
        <v>7</v>
      </c>
      <c r="H4" s="13">
        <v>0.81</v>
      </c>
      <c r="I4" s="7" t="s">
        <v>35</v>
      </c>
      <c r="J4" s="13">
        <v>0.81</v>
      </c>
      <c r="K4" s="7" t="s">
        <v>35</v>
      </c>
      <c r="L4" s="27">
        <v>0.81</v>
      </c>
      <c r="M4" s="34">
        <v>0.81</v>
      </c>
      <c r="N4" s="41">
        <v>0.81</v>
      </c>
      <c r="O4" s="13">
        <v>0.81</v>
      </c>
      <c r="P4" s="7" t="s">
        <v>35</v>
      </c>
      <c r="Q4" s="27">
        <v>0.81</v>
      </c>
      <c r="R4" s="34">
        <v>0.81</v>
      </c>
      <c r="S4" s="41">
        <v>0.81</v>
      </c>
      <c r="T4" s="13">
        <v>0.81</v>
      </c>
      <c r="U4" s="7" t="s">
        <v>35</v>
      </c>
      <c r="V4" s="27">
        <v>0.81</v>
      </c>
      <c r="W4" s="34">
        <v>0.81</v>
      </c>
      <c r="X4" s="41">
        <v>0.81</v>
      </c>
      <c r="Y4" s="13">
        <v>0.95</v>
      </c>
      <c r="Z4" s="7" t="s">
        <v>58</v>
      </c>
      <c r="AA4" s="27">
        <v>0.95</v>
      </c>
      <c r="AB4" s="34">
        <v>0.95</v>
      </c>
      <c r="AC4" s="61">
        <v>0.95</v>
      </c>
      <c r="AD4" s="13">
        <v>0.95</v>
      </c>
      <c r="AE4" s="7" t="s">
        <v>58</v>
      </c>
    </row>
    <row r="5" spans="1:31" x14ac:dyDescent="0.25">
      <c r="A5" s="2"/>
      <c r="B5" s="3" t="s">
        <v>8</v>
      </c>
      <c r="C5" s="69"/>
      <c r="D5" s="6">
        <v>80</v>
      </c>
      <c r="E5" s="7" t="s">
        <v>6</v>
      </c>
      <c r="F5" s="6">
        <v>80</v>
      </c>
      <c r="G5" s="7" t="s">
        <v>7</v>
      </c>
      <c r="H5" s="13">
        <v>0.81</v>
      </c>
      <c r="I5" s="7" t="s">
        <v>35</v>
      </c>
      <c r="J5" s="13">
        <v>0.81</v>
      </c>
      <c r="K5" s="7" t="s">
        <v>35</v>
      </c>
      <c r="L5" s="27">
        <v>0.81</v>
      </c>
      <c r="M5" s="34">
        <v>0.81</v>
      </c>
      <c r="N5" s="41">
        <v>0.81</v>
      </c>
      <c r="O5" s="13">
        <v>0.81</v>
      </c>
      <c r="P5" s="7" t="s">
        <v>35</v>
      </c>
      <c r="Q5" s="27">
        <v>0.81</v>
      </c>
      <c r="R5" s="34">
        <v>0.81</v>
      </c>
      <c r="S5" s="41">
        <v>0.81</v>
      </c>
      <c r="T5" s="13">
        <v>0.81</v>
      </c>
      <c r="U5" s="7" t="s">
        <v>35</v>
      </c>
      <c r="V5" s="27">
        <v>0.81</v>
      </c>
      <c r="W5" s="34">
        <v>0.81</v>
      </c>
      <c r="X5" s="41">
        <v>0.81</v>
      </c>
      <c r="Y5" s="13">
        <v>0.95</v>
      </c>
      <c r="Z5" s="7" t="s">
        <v>58</v>
      </c>
      <c r="AA5" s="27">
        <v>0.95</v>
      </c>
      <c r="AB5" s="34">
        <v>0.95</v>
      </c>
      <c r="AC5" s="61">
        <v>0.95</v>
      </c>
      <c r="AD5" s="13">
        <v>0.95</v>
      </c>
      <c r="AE5" s="7" t="s">
        <v>58</v>
      </c>
    </row>
    <row r="6" spans="1:31" ht="31.5" x14ac:dyDescent="0.25">
      <c r="A6" s="2">
        <v>2</v>
      </c>
      <c r="B6" s="52" t="s">
        <v>9</v>
      </c>
      <c r="C6" s="4" t="s">
        <v>31</v>
      </c>
      <c r="D6" s="6">
        <v>200</v>
      </c>
      <c r="E6" s="7">
        <v>615</v>
      </c>
      <c r="F6" s="6">
        <v>190</v>
      </c>
      <c r="G6" s="7">
        <v>566</v>
      </c>
      <c r="H6" s="14">
        <v>137</v>
      </c>
      <c r="I6" s="7">
        <v>527</v>
      </c>
      <c r="J6" s="14">
        <f>11/8063*100000</f>
        <v>136.4256480218281</v>
      </c>
      <c r="K6" s="7">
        <v>510</v>
      </c>
      <c r="L6" s="28">
        <f>4/8121*100000</f>
        <v>49.255017854943965</v>
      </c>
      <c r="M6" s="35">
        <f>5/8072*100000</f>
        <v>61.942517343904854</v>
      </c>
      <c r="N6" s="42">
        <f>10/8134*100000</f>
        <v>122.94074256208506</v>
      </c>
      <c r="O6" s="14">
        <f>14/8135*100000</f>
        <v>172.0958819913952</v>
      </c>
      <c r="P6" s="7">
        <v>510</v>
      </c>
      <c r="Q6" s="28">
        <f>2/8155*100000</f>
        <v>24.524831391784179</v>
      </c>
      <c r="R6" s="35">
        <f>6/8123*100000</f>
        <v>73.864335836513604</v>
      </c>
      <c r="S6" s="42">
        <f>12/8060*100000</f>
        <v>148.8833746898263</v>
      </c>
      <c r="T6" s="14">
        <f>16/8075*100000</f>
        <v>198.14241486068113</v>
      </c>
      <c r="U6" s="7">
        <v>510</v>
      </c>
      <c r="V6" s="28">
        <f>1/8144*100000</f>
        <v>12.278978388998034</v>
      </c>
      <c r="W6" s="50">
        <f>(2/5092)*100000</f>
        <v>39.277297721916732</v>
      </c>
      <c r="X6" s="51">
        <f>(3/5092)*100000</f>
        <v>58.915946582875101</v>
      </c>
      <c r="Y6" s="14">
        <f>(3/5092)*100000</f>
        <v>58.915946582875101</v>
      </c>
      <c r="Z6" s="7">
        <v>510</v>
      </c>
      <c r="AA6" s="55">
        <f>2/8144*100000</f>
        <v>24.557956777996068</v>
      </c>
      <c r="AB6" s="50">
        <f>5/8074*100000</f>
        <v>61.927173643794895</v>
      </c>
      <c r="AC6" s="62">
        <f>8/8107*100000</f>
        <v>98.680152954237073</v>
      </c>
      <c r="AD6" s="14">
        <f>10/8025*100000</f>
        <v>124.61059190031153</v>
      </c>
      <c r="AE6" s="7">
        <v>510</v>
      </c>
    </row>
    <row r="7" spans="1:31" ht="63" x14ac:dyDescent="0.25">
      <c r="A7" s="2">
        <v>3</v>
      </c>
      <c r="B7" s="52" t="s">
        <v>25</v>
      </c>
      <c r="C7" s="4" t="s">
        <v>11</v>
      </c>
      <c r="D7" s="6">
        <v>15</v>
      </c>
      <c r="E7" s="7">
        <v>4</v>
      </c>
      <c r="F7" s="6">
        <v>9.3000000000000007</v>
      </c>
      <c r="G7" s="7">
        <v>4</v>
      </c>
      <c r="H7" s="15">
        <v>8.6900000000000005E-2</v>
      </c>
      <c r="I7" s="21">
        <v>0.18</v>
      </c>
      <c r="J7" s="15">
        <f>236/3526</f>
        <v>6.6931366988088492E-2</v>
      </c>
      <c r="K7" s="22">
        <v>0.185</v>
      </c>
      <c r="L7" s="29">
        <f>122/1010</f>
        <v>0.12079207920792079</v>
      </c>
      <c r="M7" s="36">
        <f>350/1260</f>
        <v>0.27777777777777779</v>
      </c>
      <c r="N7" s="43">
        <f>440/3738</f>
        <v>0.11771000535045478</v>
      </c>
      <c r="O7" s="15">
        <f>484/4877</f>
        <v>9.9241336887430795E-2</v>
      </c>
      <c r="P7" s="22">
        <v>0.185</v>
      </c>
      <c r="Q7" s="29">
        <f>42/1133</f>
        <v>3.7069726390114736E-2</v>
      </c>
      <c r="R7" s="36">
        <f>135/2307</f>
        <v>5.8517555266579972E-2</v>
      </c>
      <c r="S7" s="43">
        <f>211/3267</f>
        <v>6.458524640342822E-2</v>
      </c>
      <c r="T7" s="15">
        <f>638/4249</f>
        <v>0.15015297717109907</v>
      </c>
      <c r="U7" s="22">
        <v>0.185</v>
      </c>
      <c r="V7" s="29">
        <f>82/931</f>
        <v>8.8077336197636955E-2</v>
      </c>
      <c r="W7" s="36">
        <f>111/2033</f>
        <v>5.4599114608952289E-2</v>
      </c>
      <c r="X7" s="43">
        <v>4.3524043524043522E-2</v>
      </c>
      <c r="Y7" s="15">
        <f>1306/25570</f>
        <v>5.1075479077043413E-2</v>
      </c>
      <c r="Z7" s="22">
        <v>0.19500000000000001</v>
      </c>
      <c r="AA7" s="29">
        <f>82/931</f>
        <v>8.8077336197636955E-2</v>
      </c>
      <c r="AB7" s="53">
        <f>503/1216</f>
        <v>0.41365131578947367</v>
      </c>
      <c r="AC7" s="63">
        <f>648/1269</f>
        <v>0.51063829787234039</v>
      </c>
      <c r="AD7" s="15">
        <f>887/1055</f>
        <v>0.84075829383886258</v>
      </c>
      <c r="AE7" s="22">
        <v>0.3972</v>
      </c>
    </row>
    <row r="8" spans="1:31" ht="63" x14ac:dyDescent="0.25">
      <c r="A8" s="2">
        <v>4</v>
      </c>
      <c r="B8" s="3" t="s">
        <v>10</v>
      </c>
      <c r="C8" s="4" t="s">
        <v>11</v>
      </c>
      <c r="D8" s="6">
        <v>49</v>
      </c>
      <c r="E8" s="7">
        <v>56.3</v>
      </c>
      <c r="F8" s="6">
        <v>60</v>
      </c>
      <c r="G8" s="7">
        <v>56</v>
      </c>
      <c r="H8" s="16">
        <v>0.55600000000000005</v>
      </c>
      <c r="I8" s="22">
        <v>0.56299999999999994</v>
      </c>
      <c r="J8" s="24">
        <f>7/20</f>
        <v>0.35</v>
      </c>
      <c r="K8" s="22">
        <v>0.56899999999999995</v>
      </c>
      <c r="L8" s="30">
        <f>1/3</f>
        <v>0.33333333333333331</v>
      </c>
      <c r="M8" s="36">
        <f>3/7</f>
        <v>0.42857142857142855</v>
      </c>
      <c r="N8" s="44">
        <f>5/15</f>
        <v>0.33333333333333331</v>
      </c>
      <c r="O8" s="16">
        <f>12/24</f>
        <v>0.5</v>
      </c>
      <c r="P8" s="22">
        <v>0.56899999999999995</v>
      </c>
      <c r="Q8" s="30">
        <f>3/5</f>
        <v>0.6</v>
      </c>
      <c r="R8" s="36">
        <f>10/15</f>
        <v>0.66666666666666663</v>
      </c>
      <c r="S8" s="44">
        <f>11/20</f>
        <v>0.55000000000000004</v>
      </c>
      <c r="T8" s="16">
        <f>21/31</f>
        <v>0.67741935483870963</v>
      </c>
      <c r="U8" s="22">
        <v>0.56899999999999995</v>
      </c>
      <c r="V8" s="30">
        <f>3/6</f>
        <v>0.5</v>
      </c>
      <c r="W8" s="36">
        <f>3/8</f>
        <v>0.375</v>
      </c>
      <c r="X8" s="44">
        <v>0.42857142857142855</v>
      </c>
      <c r="Y8" s="16">
        <f>8/19</f>
        <v>0.42105263157894735</v>
      </c>
      <c r="Z8" s="22">
        <v>0.56899999999999995</v>
      </c>
      <c r="AA8" s="30">
        <f>3/6</f>
        <v>0.5</v>
      </c>
      <c r="AB8" s="37">
        <f>4/6</f>
        <v>0.66666666666666663</v>
      </c>
      <c r="AC8" s="64">
        <f>6/15</f>
        <v>0.4</v>
      </c>
      <c r="AD8" s="24">
        <f>13/21</f>
        <v>0.61904761904761907</v>
      </c>
      <c r="AE8" s="22">
        <v>0.56899999999999995</v>
      </c>
    </row>
    <row r="9" spans="1:31" ht="63" x14ac:dyDescent="0.25">
      <c r="A9" s="2">
        <v>5</v>
      </c>
      <c r="B9" s="3" t="s">
        <v>12</v>
      </c>
      <c r="C9" s="4" t="s">
        <v>11</v>
      </c>
      <c r="D9" s="6">
        <v>70</v>
      </c>
      <c r="E9" s="7" t="s">
        <v>22</v>
      </c>
      <c r="F9" s="6">
        <v>60</v>
      </c>
      <c r="G9" s="7" t="s">
        <v>23</v>
      </c>
      <c r="H9" s="16">
        <v>0.77800000000000002</v>
      </c>
      <c r="I9" s="7" t="s">
        <v>36</v>
      </c>
      <c r="J9" s="16">
        <f>7/12</f>
        <v>0.58333333333333337</v>
      </c>
      <c r="K9" s="7" t="s">
        <v>40</v>
      </c>
      <c r="L9" s="30">
        <f>3/3</f>
        <v>1</v>
      </c>
      <c r="M9" s="36">
        <f>5/9</f>
        <v>0.55555555555555558</v>
      </c>
      <c r="N9" s="45">
        <f>12/16</f>
        <v>0.75</v>
      </c>
      <c r="O9" s="16">
        <f>13/13</f>
        <v>1</v>
      </c>
      <c r="P9" s="7" t="s">
        <v>40</v>
      </c>
      <c r="Q9" s="30">
        <f>0/1</f>
        <v>0</v>
      </c>
      <c r="R9" s="36">
        <f>3/5</f>
        <v>0.6</v>
      </c>
      <c r="S9" s="45">
        <f>5/7</f>
        <v>0.7142857142857143</v>
      </c>
      <c r="T9" s="16">
        <f>6/8</f>
        <v>0.75</v>
      </c>
      <c r="U9" s="7" t="s">
        <v>40</v>
      </c>
      <c r="V9" s="30">
        <f>1/1</f>
        <v>1</v>
      </c>
      <c r="W9" s="36">
        <f>2/2</f>
        <v>1</v>
      </c>
      <c r="X9" s="45">
        <v>0.8</v>
      </c>
      <c r="Y9" s="16">
        <f>6/6</f>
        <v>1</v>
      </c>
      <c r="Z9" s="21">
        <v>0.5</v>
      </c>
      <c r="AA9" s="30">
        <f>3/4</f>
        <v>0.75</v>
      </c>
      <c r="AB9" s="37">
        <f>5/7</f>
        <v>0.7142857142857143</v>
      </c>
      <c r="AC9" s="64">
        <f>7/9</f>
        <v>0.77777777777777779</v>
      </c>
      <c r="AD9" s="24">
        <f>9/11</f>
        <v>0.81818181818181823</v>
      </c>
      <c r="AE9" s="21">
        <v>0.5</v>
      </c>
    </row>
    <row r="10" spans="1:31" ht="47.25" x14ac:dyDescent="0.25">
      <c r="A10" s="2">
        <v>6</v>
      </c>
      <c r="B10" s="3" t="s">
        <v>13</v>
      </c>
      <c r="C10" s="4" t="s">
        <v>11</v>
      </c>
      <c r="D10" s="6">
        <v>58</v>
      </c>
      <c r="E10" s="7" t="s">
        <v>15</v>
      </c>
      <c r="F10" s="6">
        <v>50</v>
      </c>
      <c r="G10" s="7" t="s">
        <v>15</v>
      </c>
      <c r="H10" s="16">
        <v>0.55600000000000005</v>
      </c>
      <c r="I10" s="7" t="s">
        <v>37</v>
      </c>
      <c r="J10" s="16">
        <f>5/12</f>
        <v>0.41666666666666669</v>
      </c>
      <c r="K10" s="7" t="s">
        <v>37</v>
      </c>
      <c r="L10" s="30">
        <f>0/3</f>
        <v>0</v>
      </c>
      <c r="M10" s="36">
        <f>3/9</f>
        <v>0.33333333333333331</v>
      </c>
      <c r="N10" s="45">
        <f>4/16</f>
        <v>0.25</v>
      </c>
      <c r="O10" s="16">
        <f>2/13</f>
        <v>0.15384615384615385</v>
      </c>
      <c r="P10" s="7" t="s">
        <v>37</v>
      </c>
      <c r="Q10" s="30">
        <f>0/1</f>
        <v>0</v>
      </c>
      <c r="R10" s="36">
        <f>3/5</f>
        <v>0.6</v>
      </c>
      <c r="S10" s="45">
        <f>5/7</f>
        <v>0.7142857142857143</v>
      </c>
      <c r="T10" s="16">
        <f>5/8</f>
        <v>0.625</v>
      </c>
      <c r="U10" s="7" t="s">
        <v>37</v>
      </c>
      <c r="V10" s="30">
        <f>0/1</f>
        <v>0</v>
      </c>
      <c r="W10" s="36">
        <f>2/2</f>
        <v>1</v>
      </c>
      <c r="X10" s="45">
        <v>0.6</v>
      </c>
      <c r="Y10" s="16">
        <f>4/6</f>
        <v>0.66666666666666663</v>
      </c>
      <c r="Z10" s="21">
        <v>0.2</v>
      </c>
      <c r="AA10" s="30">
        <f>0/1</f>
        <v>0</v>
      </c>
      <c r="AB10" s="37">
        <f>1/7</f>
        <v>0.14285714285714285</v>
      </c>
      <c r="AC10" s="64">
        <f>2/9</f>
        <v>0.22222222222222221</v>
      </c>
      <c r="AD10" s="24">
        <f>2/11</f>
        <v>0.18181818181818182</v>
      </c>
      <c r="AE10" s="21">
        <v>0.2</v>
      </c>
    </row>
    <row r="11" spans="1:31" ht="47.25" x14ac:dyDescent="0.25">
      <c r="A11" s="2">
        <v>7</v>
      </c>
      <c r="B11" s="3" t="s">
        <v>14</v>
      </c>
      <c r="C11" s="4" t="s">
        <v>11</v>
      </c>
      <c r="D11" s="6">
        <v>25</v>
      </c>
      <c r="E11" s="7" t="s">
        <v>15</v>
      </c>
      <c r="F11" s="6">
        <v>40</v>
      </c>
      <c r="G11" s="7" t="s">
        <v>24</v>
      </c>
      <c r="H11" s="16">
        <v>0.66700000000000004</v>
      </c>
      <c r="I11" s="7" t="s">
        <v>38</v>
      </c>
      <c r="J11" s="24">
        <f>9/12</f>
        <v>0.75</v>
      </c>
      <c r="K11" s="7" t="s">
        <v>41</v>
      </c>
      <c r="L11" s="30">
        <f>2/3</f>
        <v>0.66666666666666663</v>
      </c>
      <c r="M11" s="36">
        <f>3/9</f>
        <v>0.33333333333333331</v>
      </c>
      <c r="N11" s="44">
        <f>7/16</f>
        <v>0.4375</v>
      </c>
      <c r="O11" s="16">
        <f>9/13</f>
        <v>0.69230769230769229</v>
      </c>
      <c r="P11" s="7" t="s">
        <v>40</v>
      </c>
      <c r="Q11" s="30">
        <f>1/1</f>
        <v>1</v>
      </c>
      <c r="R11" s="36">
        <f>3/5</f>
        <v>0.6</v>
      </c>
      <c r="S11" s="45">
        <f>5/7</f>
        <v>0.7142857142857143</v>
      </c>
      <c r="T11" s="16">
        <f>4/8</f>
        <v>0.5</v>
      </c>
      <c r="U11" s="7" t="s">
        <v>40</v>
      </c>
      <c r="V11" s="30">
        <f>0/1</f>
        <v>0</v>
      </c>
      <c r="W11" s="36">
        <f>0/1</f>
        <v>0</v>
      </c>
      <c r="X11" s="45">
        <v>0.6</v>
      </c>
      <c r="Y11" s="16">
        <f>4/6</f>
        <v>0.66666666666666663</v>
      </c>
      <c r="Z11" s="21">
        <v>0.5</v>
      </c>
      <c r="AA11" s="30">
        <f>0/1</f>
        <v>0</v>
      </c>
      <c r="AB11" s="37">
        <f>5/7</f>
        <v>0.7142857142857143</v>
      </c>
      <c r="AC11" s="64">
        <f>6/9</f>
        <v>0.66666666666666663</v>
      </c>
      <c r="AD11" s="24">
        <f>7/11</f>
        <v>0.63636363636363635</v>
      </c>
      <c r="AE11" s="21">
        <v>0.5</v>
      </c>
    </row>
    <row r="12" spans="1:31" ht="78.75" x14ac:dyDescent="0.25">
      <c r="A12" s="2">
        <v>8</v>
      </c>
      <c r="B12" s="3" t="s">
        <v>16</v>
      </c>
      <c r="C12" s="4" t="s">
        <v>11</v>
      </c>
      <c r="D12" s="6">
        <v>60</v>
      </c>
      <c r="E12" s="7" t="s">
        <v>17</v>
      </c>
      <c r="F12" s="6">
        <v>33</v>
      </c>
      <c r="G12" s="7" t="s">
        <v>17</v>
      </c>
      <c r="H12" s="16">
        <v>0.41699999999999998</v>
      </c>
      <c r="I12" s="21">
        <v>0.35</v>
      </c>
      <c r="J12" s="16">
        <f>6/11</f>
        <v>0.54545454545454541</v>
      </c>
      <c r="K12" s="21">
        <v>0.32</v>
      </c>
      <c r="L12" s="30">
        <f>0/1</f>
        <v>0</v>
      </c>
      <c r="M12" s="37">
        <f>2/5</f>
        <v>0.4</v>
      </c>
      <c r="N12" s="44">
        <f>5/11</f>
        <v>0.45454545454545453</v>
      </c>
      <c r="O12" s="16">
        <f>8/14</f>
        <v>0.5714285714285714</v>
      </c>
      <c r="P12" s="21">
        <v>0.32</v>
      </c>
      <c r="Q12" s="30">
        <f>2/3</f>
        <v>0.66666666666666663</v>
      </c>
      <c r="R12" s="37">
        <f>2/3</f>
        <v>0.66666666666666663</v>
      </c>
      <c r="S12" s="45">
        <f>6/7</f>
        <v>0.8571428571428571</v>
      </c>
      <c r="T12" s="16">
        <f>8/14</f>
        <v>0.5714285714285714</v>
      </c>
      <c r="U12" s="21">
        <v>0.32</v>
      </c>
      <c r="V12" s="30">
        <f>1/3</f>
        <v>0.33333333333333331</v>
      </c>
      <c r="W12" s="37">
        <f>2/6</f>
        <v>0.33333333333333331</v>
      </c>
      <c r="X12" s="45">
        <v>0.5</v>
      </c>
      <c r="Y12" s="16">
        <f>10/17</f>
        <v>0.58823529411764708</v>
      </c>
      <c r="Z12" s="22">
        <v>0.33500000000000002</v>
      </c>
      <c r="AA12" s="30">
        <f>1/3</f>
        <v>0.33333333333333331</v>
      </c>
      <c r="AB12" s="37">
        <f>1/6</f>
        <v>0.16666666666666666</v>
      </c>
      <c r="AC12" s="64">
        <f>4/9</f>
        <v>0.44444444444444442</v>
      </c>
      <c r="AD12" s="24">
        <f>4/10</f>
        <v>0.4</v>
      </c>
      <c r="AE12" s="22">
        <v>0.33500000000000002</v>
      </c>
    </row>
    <row r="13" spans="1:31" x14ac:dyDescent="0.25">
      <c r="A13" s="70" t="s">
        <v>18</v>
      </c>
      <c r="B13" s="71"/>
      <c r="C13" s="11"/>
      <c r="D13" s="11"/>
      <c r="E13" s="11"/>
      <c r="F13" s="11"/>
      <c r="G13" s="11"/>
      <c r="H13" s="17"/>
      <c r="I13" s="23"/>
      <c r="J13" s="17"/>
      <c r="K13" s="23"/>
      <c r="L13" s="17"/>
      <c r="M13" s="17"/>
      <c r="N13" s="46"/>
      <c r="O13" s="17"/>
      <c r="P13" s="23"/>
      <c r="Q13" s="17"/>
      <c r="R13" s="17"/>
      <c r="S13" s="46"/>
      <c r="T13" s="17"/>
      <c r="U13" s="23"/>
      <c r="V13" s="17"/>
      <c r="W13" s="17"/>
      <c r="X13" s="46"/>
      <c r="Y13" s="17"/>
      <c r="Z13" s="23"/>
      <c r="AA13" s="17"/>
      <c r="AB13" s="17"/>
      <c r="AC13" s="65"/>
      <c r="AD13" s="57"/>
      <c r="AE13" s="23"/>
    </row>
    <row r="14" spans="1:31" ht="31.5" x14ac:dyDescent="0.25">
      <c r="A14" s="2">
        <v>1</v>
      </c>
      <c r="B14" s="3" t="s">
        <v>19</v>
      </c>
      <c r="C14" s="4" t="s">
        <v>27</v>
      </c>
      <c r="D14" s="6">
        <v>40</v>
      </c>
      <c r="E14" s="7">
        <v>16.600000000000001</v>
      </c>
      <c r="F14" s="9">
        <f>28/8208*10000</f>
        <v>34.113060428849899</v>
      </c>
      <c r="G14" s="7">
        <v>17</v>
      </c>
      <c r="H14" s="18">
        <v>34</v>
      </c>
      <c r="I14" s="7">
        <v>15.8</v>
      </c>
      <c r="J14" s="19">
        <f>26.5/8063*10000</f>
        <v>32.866178841622222</v>
      </c>
      <c r="K14" s="7">
        <v>16</v>
      </c>
      <c r="L14" s="32">
        <v>32</v>
      </c>
      <c r="M14" s="38">
        <f>26.75/8072*10000</f>
        <v>33.139246778989097</v>
      </c>
      <c r="N14" s="47">
        <f>26.75/8134*10000</f>
        <v>32.886648635357759</v>
      </c>
      <c r="O14" s="18">
        <f>27.75/8135*10000</f>
        <v>34.111862323294403</v>
      </c>
      <c r="P14" s="7">
        <v>16</v>
      </c>
      <c r="Q14" s="49">
        <f>28/8155*10000</f>
        <v>34.334763948497852</v>
      </c>
      <c r="R14" s="38">
        <f>27.25/8123*10000</f>
        <v>33.546719192416596</v>
      </c>
      <c r="S14" s="47">
        <f>27/8060*10000</f>
        <v>33.498759305210918</v>
      </c>
      <c r="T14" s="18">
        <f>24.5/8075*10000</f>
        <v>30.340557275541794</v>
      </c>
      <c r="U14" s="7">
        <v>16</v>
      </c>
      <c r="V14" s="49">
        <f>26.85/8144*10000</f>
        <v>32.969056974459725</v>
      </c>
      <c r="W14" s="38">
        <f>25.35/8078*10000</f>
        <v>31.381530081703392</v>
      </c>
      <c r="X14" s="47">
        <v>33.399307273626917</v>
      </c>
      <c r="Y14" s="18">
        <f>29/8049*10000</f>
        <v>36.029320412473595</v>
      </c>
      <c r="Z14" s="7">
        <v>16</v>
      </c>
      <c r="AA14" s="49">
        <f>26.85/8144*10000</f>
        <v>32.969056974459725</v>
      </c>
      <c r="AB14" s="38">
        <f>26.85/8074*10000</f>
        <v>33.254892246717858</v>
      </c>
      <c r="AC14" s="66">
        <f>26.85/8107*10000</f>
        <v>33.119526335265824</v>
      </c>
      <c r="AD14" s="19">
        <f>29.35/8107*10000</f>
        <v>36.20328111508573</v>
      </c>
      <c r="AE14" s="7">
        <v>16</v>
      </c>
    </row>
    <row r="15" spans="1:31" ht="47.25" x14ac:dyDescent="0.25">
      <c r="A15" s="2">
        <v>2</v>
      </c>
      <c r="B15" s="3" t="s">
        <v>20</v>
      </c>
      <c r="C15" s="4" t="s">
        <v>27</v>
      </c>
      <c r="D15" s="6">
        <v>116</v>
      </c>
      <c r="E15" s="7">
        <v>41.2</v>
      </c>
      <c r="F15" s="9">
        <f>67/8208*10000</f>
        <v>81.627680311890828</v>
      </c>
      <c r="G15" s="7">
        <v>41.4</v>
      </c>
      <c r="H15" s="19">
        <v>77.599999999999994</v>
      </c>
      <c r="I15" s="7">
        <v>39.4</v>
      </c>
      <c r="J15" s="19">
        <f>65.75/8063*10000</f>
        <v>81.545330522138173</v>
      </c>
      <c r="K15" s="7">
        <v>39.5</v>
      </c>
      <c r="L15" s="32">
        <v>84</v>
      </c>
      <c r="M15" s="38">
        <f>69.5/8072*10000</f>
        <v>86.100099108027749</v>
      </c>
      <c r="N15" s="47">
        <f>70.5/8134*10000</f>
        <v>86.673223506269977</v>
      </c>
      <c r="O15" s="19">
        <f>72/8135*10000</f>
        <v>88.506453595574683</v>
      </c>
      <c r="P15" s="7">
        <v>39.5</v>
      </c>
      <c r="Q15" s="49">
        <f>73.25/8155*10000</f>
        <v>89.822194972409562</v>
      </c>
      <c r="R15" s="38">
        <f>73.25/8123*10000</f>
        <v>90.176043333743678</v>
      </c>
      <c r="S15" s="47">
        <f>71.25/8060*10000</f>
        <v>88.399503722084376</v>
      </c>
      <c r="T15" s="19">
        <f>75.25/8075*10000</f>
        <v>93.188854489164086</v>
      </c>
      <c r="U15" s="7">
        <v>39.5</v>
      </c>
      <c r="V15" s="49">
        <f>78.75/8144*10000</f>
        <v>96.696954813359525</v>
      </c>
      <c r="W15" s="38">
        <f>75.75/8078*10000</f>
        <v>93.773211190888844</v>
      </c>
      <c r="X15" s="47">
        <v>88.13706086095992</v>
      </c>
      <c r="Y15" s="19">
        <f>77/8049*10000</f>
        <v>95.664057646912653</v>
      </c>
      <c r="Z15" s="7">
        <v>39.5</v>
      </c>
      <c r="AA15" s="49">
        <f>78.75/8144*10000</f>
        <v>96.696954813359525</v>
      </c>
      <c r="AB15" s="38">
        <f>78.75/8074*10000</f>
        <v>97.535298488976949</v>
      </c>
      <c r="AC15" s="66">
        <f>78.75/8107*10000</f>
        <v>97.138275564327117</v>
      </c>
      <c r="AD15" s="66">
        <f>60.75/8025*10000</f>
        <v>75.700934579439249</v>
      </c>
      <c r="AE15" s="7">
        <v>39.5</v>
      </c>
    </row>
    <row r="16" spans="1:31" ht="31.5" x14ac:dyDescent="0.25">
      <c r="A16" s="2">
        <v>3</v>
      </c>
      <c r="B16" s="3" t="s">
        <v>26</v>
      </c>
      <c r="C16" s="4" t="s">
        <v>11</v>
      </c>
      <c r="D16" s="6">
        <v>104</v>
      </c>
      <c r="E16" s="7">
        <v>100</v>
      </c>
      <c r="F16" s="6">
        <v>105</v>
      </c>
      <c r="G16" s="7">
        <v>95</v>
      </c>
      <c r="H16" s="16">
        <v>1.274</v>
      </c>
      <c r="I16" s="21">
        <v>0.95</v>
      </c>
      <c r="J16" s="16">
        <f>1474/1792</f>
        <v>0.8225446428571429</v>
      </c>
      <c r="K16" s="21">
        <v>0.95</v>
      </c>
      <c r="L16" s="30">
        <f>422/1864</f>
        <v>0.22639484978540772</v>
      </c>
      <c r="M16" s="36">
        <f>494/1792</f>
        <v>0.27566964285714285</v>
      </c>
      <c r="N16" s="45">
        <f>1194/1864</f>
        <v>0.6405579399141631</v>
      </c>
      <c r="O16" s="16">
        <f>1629/1864</f>
        <v>0.87392703862660948</v>
      </c>
      <c r="P16" s="21">
        <v>0.95</v>
      </c>
      <c r="Q16" s="30">
        <f>541/2349</f>
        <v>0.2303107705406556</v>
      </c>
      <c r="R16" s="37">
        <f>717/2349</f>
        <v>0.30523627075351212</v>
      </c>
      <c r="S16" s="45">
        <f>1751/2349</f>
        <v>0.74542358450404422</v>
      </c>
      <c r="T16" s="16">
        <f>1887/2349</f>
        <v>0.80332056194125157</v>
      </c>
      <c r="U16" s="21">
        <v>0.95</v>
      </c>
      <c r="V16" s="30">
        <f>548/3064</f>
        <v>0.17885117493472585</v>
      </c>
      <c r="W16" s="37">
        <f>1273/3064</f>
        <v>0.41546997389033941</v>
      </c>
      <c r="X16" s="45">
        <v>0.57539164490861616</v>
      </c>
      <c r="Y16" s="16">
        <f>2521/3064</f>
        <v>0.8227806788511749</v>
      </c>
      <c r="Z16" s="21">
        <v>0.95</v>
      </c>
      <c r="AA16" s="30">
        <f>542/3661</f>
        <v>0.14804698169898936</v>
      </c>
      <c r="AB16" s="54">
        <f>974/3661</f>
        <v>0.26604752799781478</v>
      </c>
      <c r="AC16" s="67">
        <f>1255/3661</f>
        <v>0.34280251297459713</v>
      </c>
      <c r="AD16" s="58">
        <f>2233/3661</f>
        <v>0.60994263862332698</v>
      </c>
      <c r="AE16" s="21">
        <v>0.95</v>
      </c>
    </row>
    <row r="17" spans="1:31" ht="63" x14ac:dyDescent="0.25">
      <c r="A17" s="2">
        <v>4</v>
      </c>
      <c r="B17" s="3" t="s">
        <v>21</v>
      </c>
      <c r="C17" s="4" t="s">
        <v>11</v>
      </c>
      <c r="D17" s="6">
        <v>0</v>
      </c>
      <c r="E17" s="7">
        <v>0</v>
      </c>
      <c r="F17" s="6">
        <v>0</v>
      </c>
      <c r="G17" s="7">
        <v>0</v>
      </c>
      <c r="H17" s="20">
        <v>0</v>
      </c>
      <c r="I17" s="7">
        <v>0</v>
      </c>
      <c r="J17" s="20">
        <v>0</v>
      </c>
      <c r="K17" s="7">
        <v>0</v>
      </c>
      <c r="L17" s="31">
        <v>0</v>
      </c>
      <c r="M17" s="39">
        <v>0</v>
      </c>
      <c r="N17" s="48">
        <v>0</v>
      </c>
      <c r="O17" s="20">
        <v>0</v>
      </c>
      <c r="P17" s="7">
        <v>0</v>
      </c>
      <c r="Q17" s="31">
        <v>0</v>
      </c>
      <c r="R17" s="39">
        <v>0</v>
      </c>
      <c r="S17" s="48">
        <v>0</v>
      </c>
      <c r="T17" s="20">
        <v>0</v>
      </c>
      <c r="U17" s="7">
        <v>0</v>
      </c>
      <c r="V17" s="31">
        <v>0</v>
      </c>
      <c r="W17" s="39">
        <v>0</v>
      </c>
      <c r="X17" s="48">
        <v>0</v>
      </c>
      <c r="Y17" s="20">
        <v>0</v>
      </c>
      <c r="Z17" s="7">
        <v>0</v>
      </c>
      <c r="AA17" s="31">
        <v>0</v>
      </c>
      <c r="AB17" s="39">
        <v>0</v>
      </c>
      <c r="AC17" s="68">
        <v>0</v>
      </c>
      <c r="AD17" s="20">
        <v>0</v>
      </c>
      <c r="AE17" s="7">
        <v>0</v>
      </c>
    </row>
  </sheetData>
  <mergeCells count="3">
    <mergeCell ref="C4:C5"/>
    <mergeCell ref="A3:B3"/>
    <mergeCell ref="A13:B13"/>
  </mergeCells>
  <pageMargins left="0" right="0" top="0.35433070866141736" bottom="0" header="0.31496062992125984" footer="0.31496062992125984"/>
  <pageSetup paperSize="9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Критерии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2025-01-30T04:59:07Z</dcterms:modified>
</cp:coreProperties>
</file>